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c3a94b11af46d8d/MIT/MDA611/s12024/energy/"/>
    </mc:Choice>
  </mc:AlternateContent>
  <xr:revisionPtr revIDLastSave="0" documentId="8_{49E4E9D6-052D-4713-B1CD-CD4D0AF6E417}" xr6:coauthVersionLast="47" xr6:coauthVersionMax="47" xr10:uidLastSave="{00000000-0000-0000-0000-000000000000}"/>
  <bookViews>
    <workbookView xWindow="-108" yWindow="-108" windowWidth="23256" windowHeight="13896" activeTab="1" xr2:uid="{E0BE5DA8-CD81-4DA0-8CB3-8092E6C5A728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9" i="2" l="1"/>
  <c r="A33" i="2"/>
  <c r="A34" i="2" s="1"/>
  <c r="A23" i="2"/>
  <c r="A25" i="2" s="1"/>
  <c r="A26" i="2" s="1"/>
  <c r="A16" i="2"/>
  <c r="A17" i="2" s="1"/>
  <c r="A18" i="2" s="1"/>
  <c r="A19" i="2" s="1"/>
  <c r="F33" i="1"/>
  <c r="H29" i="1"/>
  <c r="G29" i="1"/>
  <c r="F29" i="1"/>
  <c r="H26" i="1"/>
  <c r="F26" i="1"/>
  <c r="G26" i="1"/>
  <c r="B10" i="1"/>
  <c r="S23" i="1"/>
  <c r="S21" i="1"/>
  <c r="S19" i="1"/>
  <c r="S15" i="1"/>
  <c r="S14" i="1"/>
  <c r="R19" i="1"/>
  <c r="R18" i="1"/>
  <c r="R15" i="1"/>
  <c r="M18" i="1"/>
  <c r="M15" i="1"/>
  <c r="B9" i="1"/>
  <c r="J3" i="1"/>
  <c r="B6" i="1" s="1"/>
  <c r="B7" i="1" s="1"/>
  <c r="B8" i="1" s="1"/>
  <c r="A27" i="2" l="1"/>
  <c r="A29" i="2" s="1"/>
  <c r="F30" i="2" s="1"/>
  <c r="F31" i="2" s="1"/>
  <c r="F36" i="2" s="1"/>
  <c r="F37" i="2" s="1"/>
</calcChain>
</file>

<file path=xl/sharedStrings.xml><?xml version="1.0" encoding="utf-8"?>
<sst xmlns="http://schemas.openxmlformats.org/spreadsheetml/2006/main" count="95" uniqueCount="84">
  <si>
    <t>Petajoules</t>
  </si>
  <si>
    <t>Transport</t>
  </si>
  <si>
    <t>Electricity Supply</t>
  </si>
  <si>
    <t>Manufacturing</t>
  </si>
  <si>
    <t>Mining</t>
  </si>
  <si>
    <t>Residential</t>
  </si>
  <si>
    <t>Commercial</t>
  </si>
  <si>
    <t>Other</t>
  </si>
  <si>
    <t>Consumpion</t>
  </si>
  <si>
    <t>Total</t>
  </si>
  <si>
    <t xml:space="preserve">Consume </t>
  </si>
  <si>
    <t>replace</t>
  </si>
  <si>
    <t>PJ need to be replaced by renwables</t>
  </si>
  <si>
    <t>estimate</t>
  </si>
  <si>
    <t>2021-22</t>
  </si>
  <si>
    <t>less 10% consumed to produce energy from fossil fuels, say 500PJ</t>
  </si>
  <si>
    <t>less current Solar</t>
  </si>
  <si>
    <t>less 500PJ of Gas high Temp, can't replace</t>
  </si>
  <si>
    <t>estimated</t>
  </si>
  <si>
    <t>conversion</t>
  </si>
  <si>
    <t>1 PJ</t>
  </si>
  <si>
    <t>MWh, not MW</t>
  </si>
  <si>
    <t>MW</t>
  </si>
  <si>
    <t>efficiency</t>
  </si>
  <si>
    <t>effective sunlight per day</t>
  </si>
  <si>
    <t>days per Year</t>
  </si>
  <si>
    <t>MWh per year</t>
  </si>
  <si>
    <t>PJ</t>
  </si>
  <si>
    <t>Solar</t>
  </si>
  <si>
    <t>efficency</t>
  </si>
  <si>
    <t>capacity (wind variation)</t>
  </si>
  <si>
    <t>days per year</t>
  </si>
  <si>
    <t>hours per day</t>
  </si>
  <si>
    <t>PJs per year</t>
  </si>
  <si>
    <t>Wind</t>
  </si>
  <si>
    <t>Hydro</t>
  </si>
  <si>
    <t>biofuel</t>
  </si>
  <si>
    <t>cost per MW $m</t>
  </si>
  <si>
    <t>per 1PJ</t>
  </si>
  <si>
    <t>per 0.378 PJ</t>
  </si>
  <si>
    <t>500MW</t>
  </si>
  <si>
    <t>100MW</t>
  </si>
  <si>
    <t>CostpMW</t>
  </si>
  <si>
    <t>750MW</t>
  </si>
  <si>
    <t>hectares</t>
  </si>
  <si>
    <t>Acres</t>
  </si>
  <si>
    <t xml:space="preserve"> </t>
  </si>
  <si>
    <t>Upper Bound Estimate of Solar to replace 5500 PJ of energy consumed per year in Australia</t>
  </si>
  <si>
    <t>Using the New England Solar Farm NESF as the basic unit to determine total cost and area</t>
  </si>
  <si>
    <t>NESF</t>
  </si>
  <si>
    <t>power homes</t>
  </si>
  <si>
    <t>cost</t>
  </si>
  <si>
    <t>electricity ONLY i.e. not gas for cooking</t>
  </si>
  <si>
    <t>farms</t>
  </si>
  <si>
    <t>COST Electricity replacement</t>
  </si>
  <si>
    <t>non-electricy usage</t>
  </si>
  <si>
    <t>additional</t>
  </si>
  <si>
    <t>cost additional</t>
  </si>
  <si>
    <t>PJ consumed Australia</t>
  </si>
  <si>
    <t>PJ gas can't be replaced</t>
  </si>
  <si>
    <t>PJ remaining</t>
  </si>
  <si>
    <t>residential</t>
  </si>
  <si>
    <t>PJ replacement total</t>
  </si>
  <si>
    <t>total residential cost replace 913 PJ</t>
  </si>
  <si>
    <t>replacement cost of 4087 PJs</t>
  </si>
  <si>
    <t>Total cost to replace full amount + cost 500PJ gas.</t>
  </si>
  <si>
    <t xml:space="preserve">It all depends on this calculation. </t>
  </si>
  <si>
    <t>Hectares</t>
  </si>
  <si>
    <t>needed</t>
  </si>
  <si>
    <t>total</t>
  </si>
  <si>
    <t>Billion Acres in Australia</t>
  </si>
  <si>
    <t>Small fraction of available land</t>
  </si>
  <si>
    <t>Total Homes in Australia</t>
  </si>
  <si>
    <t>PJ in total consumed by Australia Home</t>
  </si>
  <si>
    <t>PJ of electricity consumed by homes</t>
  </si>
  <si>
    <t>NESF land size</t>
  </si>
  <si>
    <t>PJ by 2050</t>
  </si>
  <si>
    <t>Cost to covergrowth 55%</t>
  </si>
  <si>
    <t>3% maintence p.a.</t>
  </si>
  <si>
    <t>note: solar will get more efficient and cheaper.</t>
  </si>
  <si>
    <t>transmission upgrades??</t>
  </si>
  <si>
    <t>total cost</t>
  </si>
  <si>
    <t>per year to 2050</t>
  </si>
  <si>
    <t>increase 55%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</si>
</sst>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$&quot;#,##0;[Red]\-&quot;$&quot;#,##0"/>
    <numFmt numFmtId="44" formatCode="_-&quot;$&quot;* #,##0.00_-;\-&quot;$&quot;* #,##0.00_-;_-&quot;$&quot;* &quot;-&quot;??_-;_-@_-"/>
    <numFmt numFmtId="164" formatCode="#,##0.00_ ;\-#,##0.00\ 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8"/>
      <color rgb="FF202124"/>
      <name val="Arial"/>
      <family val="2"/>
    </font>
    <font>
      <sz val="8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rgb="FFFF000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6">
    <xf numFmtId="0" fontId="0" fillId="0" borderId="0" xfId="0"/>
    <xf numFmtId="0" fontId="0" fillId="0" borderId="1" xfId="0" applyBorder="1"/>
    <xf numFmtId="0" fontId="0" fillId="0" borderId="0" xfId="0" applyBorder="1"/>
    <xf numFmtId="3" fontId="0" fillId="0" borderId="1" xfId="0" applyNumberFormat="1" applyBorder="1"/>
    <xf numFmtId="44" fontId="0" fillId="0" borderId="0" xfId="1" applyFont="1"/>
    <xf numFmtId="44" fontId="0" fillId="0" borderId="0" xfId="0" applyNumberFormat="1"/>
    <xf numFmtId="9" fontId="0" fillId="0" borderId="0" xfId="2" applyFont="1"/>
    <xf numFmtId="164" fontId="0" fillId="0" borderId="0" xfId="1" applyNumberFormat="1" applyFont="1"/>
    <xf numFmtId="0" fontId="2" fillId="0" borderId="0" xfId="0" applyFont="1"/>
    <xf numFmtId="0" fontId="3" fillId="0" borderId="0" xfId="0" applyFont="1"/>
    <xf numFmtId="4" fontId="3" fillId="0" borderId="0" xfId="0" applyNumberFormat="1" applyFont="1"/>
    <xf numFmtId="164" fontId="3" fillId="0" borderId="0" xfId="1" applyNumberFormat="1" applyFont="1"/>
    <xf numFmtId="44" fontId="3" fillId="0" borderId="0" xfId="1" applyFont="1"/>
    <xf numFmtId="0" fontId="4" fillId="0" borderId="1" xfId="0" applyFont="1" applyBorder="1"/>
    <xf numFmtId="0" fontId="4" fillId="0" borderId="0" xfId="0" applyFont="1"/>
    <xf numFmtId="3" fontId="4" fillId="0" borderId="1" xfId="0" applyNumberFormat="1" applyFont="1" applyBorder="1"/>
    <xf numFmtId="4" fontId="4" fillId="0" borderId="1" xfId="0" applyNumberFormat="1" applyFont="1" applyBorder="1"/>
    <xf numFmtId="3" fontId="4" fillId="2" borderId="1" xfId="0" applyNumberFormat="1" applyFont="1" applyFill="1" applyBorder="1"/>
    <xf numFmtId="0" fontId="4" fillId="2" borderId="1" xfId="0" applyFont="1" applyFill="1" applyBorder="1"/>
    <xf numFmtId="44" fontId="4" fillId="0" borderId="1" xfId="1" applyFont="1" applyBorder="1"/>
    <xf numFmtId="44" fontId="4" fillId="0" borderId="1" xfId="0" applyNumberFormat="1" applyFont="1" applyBorder="1"/>
    <xf numFmtId="0" fontId="4" fillId="0" borderId="2" xfId="0" applyFont="1" applyBorder="1"/>
    <xf numFmtId="6" fontId="4" fillId="0" borderId="1" xfId="0" applyNumberFormat="1" applyFont="1" applyBorder="1"/>
    <xf numFmtId="164" fontId="4" fillId="0" borderId="1" xfId="0" applyNumberFormat="1" applyFont="1" applyBorder="1"/>
    <xf numFmtId="0" fontId="4" fillId="0" borderId="1" xfId="0" applyFont="1" applyFill="1" applyBorder="1"/>
    <xf numFmtId="44" fontId="5" fillId="0" borderId="1" xfId="0" applyNumberFormat="1" applyFont="1" applyBorder="1"/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90DDF-3714-4445-8342-810CB006D709}">
  <dimension ref="A1:S33"/>
  <sheetViews>
    <sheetView topLeftCell="A7" workbookViewId="0">
      <selection activeCell="F33" sqref="F33"/>
    </sheetView>
  </sheetViews>
  <sheetFormatPr defaultRowHeight="14.4" x14ac:dyDescent="0.3"/>
  <cols>
    <col min="3" max="3" width="14.109375" bestFit="1" customWidth="1"/>
    <col min="6" max="6" width="17.77734375" bestFit="1" customWidth="1"/>
    <col min="8" max="8" width="21.44140625" bestFit="1" customWidth="1"/>
    <col min="10" max="10" width="15.77734375" customWidth="1"/>
    <col min="13" max="13" width="16.109375" bestFit="1" customWidth="1"/>
    <col min="19" max="19" width="21.44140625" bestFit="1" customWidth="1"/>
  </cols>
  <sheetData>
    <row r="1" spans="1:19" x14ac:dyDescent="0.3">
      <c r="A1" s="1" t="s">
        <v>0</v>
      </c>
      <c r="B1" s="1" t="s">
        <v>8</v>
      </c>
      <c r="C1" s="1"/>
      <c r="D1" s="1"/>
      <c r="E1" s="1"/>
      <c r="F1" s="1"/>
      <c r="G1" s="1"/>
      <c r="H1" s="1"/>
    </row>
    <row r="2" spans="1:19" x14ac:dyDescent="0.3">
      <c r="A2" s="1"/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J2" t="s">
        <v>9</v>
      </c>
    </row>
    <row r="3" spans="1:19" x14ac:dyDescent="0.3">
      <c r="A3" s="1"/>
      <c r="B3" s="1">
        <v>1445.3</v>
      </c>
      <c r="C3" s="1">
        <v>1417.4</v>
      </c>
      <c r="D3" s="1">
        <v>1016.4</v>
      </c>
      <c r="E3" s="1">
        <v>865.9</v>
      </c>
      <c r="F3" s="1">
        <v>497.7</v>
      </c>
      <c r="G3" s="1">
        <v>296.10000000000002</v>
      </c>
      <c r="H3" s="1">
        <v>223.3</v>
      </c>
      <c r="J3">
        <f>SUM(B3:H3)</f>
        <v>5762.1</v>
      </c>
    </row>
    <row r="4" spans="1:19" x14ac:dyDescent="0.3">
      <c r="A4" s="2"/>
      <c r="B4" s="2"/>
      <c r="C4" s="2"/>
      <c r="D4" s="2"/>
      <c r="E4" s="2"/>
      <c r="F4" s="2"/>
      <c r="G4" s="2"/>
      <c r="H4" s="2"/>
    </row>
    <row r="5" spans="1:19" x14ac:dyDescent="0.3">
      <c r="A5" t="s">
        <v>14</v>
      </c>
    </row>
    <row r="6" spans="1:19" x14ac:dyDescent="0.3">
      <c r="A6" t="s">
        <v>10</v>
      </c>
      <c r="B6">
        <f>J3</f>
        <v>5762.1</v>
      </c>
    </row>
    <row r="7" spans="1:19" x14ac:dyDescent="0.3">
      <c r="A7" t="s">
        <v>11</v>
      </c>
      <c r="B7">
        <f>B6-F3</f>
        <v>5264.4000000000005</v>
      </c>
      <c r="C7" t="s">
        <v>16</v>
      </c>
      <c r="E7" t="s">
        <v>13</v>
      </c>
    </row>
    <row r="8" spans="1:19" x14ac:dyDescent="0.3">
      <c r="B8">
        <f>B7-500</f>
        <v>4764.4000000000005</v>
      </c>
      <c r="C8" t="s">
        <v>17</v>
      </c>
    </row>
    <row r="9" spans="1:19" x14ac:dyDescent="0.3">
      <c r="B9">
        <f>B8-500</f>
        <v>4264.4000000000005</v>
      </c>
      <c r="C9" t="s">
        <v>15</v>
      </c>
      <c r="I9" t="s">
        <v>18</v>
      </c>
    </row>
    <row r="10" spans="1:19" x14ac:dyDescent="0.3">
      <c r="B10">
        <f>B9</f>
        <v>4264.4000000000005</v>
      </c>
      <c r="C10" t="s">
        <v>12</v>
      </c>
    </row>
    <row r="13" spans="1:19" x14ac:dyDescent="0.3">
      <c r="A13" s="1"/>
      <c r="B13" s="1"/>
      <c r="C13" s="1" t="s">
        <v>19</v>
      </c>
      <c r="D13" s="1"/>
      <c r="E13" s="1"/>
      <c r="F13" s="1"/>
      <c r="G13" s="1"/>
      <c r="H13" s="1"/>
      <c r="I13" s="1" t="s">
        <v>20</v>
      </c>
      <c r="J13" s="1">
        <v>277777</v>
      </c>
      <c r="K13" s="1" t="s">
        <v>21</v>
      </c>
      <c r="L13" s="1"/>
    </row>
    <row r="14" spans="1:19" x14ac:dyDescent="0.3">
      <c r="A14" s="1"/>
      <c r="B14" s="1" t="s">
        <v>22</v>
      </c>
      <c r="C14" s="1" t="s">
        <v>23</v>
      </c>
      <c r="D14" s="1" t="s">
        <v>24</v>
      </c>
      <c r="E14" s="1" t="s">
        <v>25</v>
      </c>
      <c r="F14" s="1" t="s">
        <v>26</v>
      </c>
      <c r="G14" s="1" t="s">
        <v>27</v>
      </c>
      <c r="H14" s="1"/>
      <c r="I14" s="1"/>
      <c r="J14" s="1" t="s">
        <v>37</v>
      </c>
      <c r="K14" s="1"/>
      <c r="L14" s="1"/>
      <c r="R14" t="s">
        <v>40</v>
      </c>
      <c r="S14">
        <f>500*R15</f>
        <v>852880.00000000012</v>
      </c>
    </row>
    <row r="15" spans="1:19" x14ac:dyDescent="0.3">
      <c r="A15" s="1" t="s">
        <v>28</v>
      </c>
      <c r="B15" s="1">
        <v>500</v>
      </c>
      <c r="C15" s="1">
        <v>0.3</v>
      </c>
      <c r="D15" s="1">
        <v>5</v>
      </c>
      <c r="E15" s="1">
        <v>365</v>
      </c>
      <c r="F15" s="1">
        <v>273750</v>
      </c>
      <c r="G15" s="1">
        <v>0.98550275940772636</v>
      </c>
      <c r="H15" s="1"/>
      <c r="I15" s="1"/>
      <c r="J15" s="3">
        <v>1500000</v>
      </c>
      <c r="K15" s="1"/>
      <c r="L15" s="1"/>
      <c r="M15" s="4">
        <f>B15*J15</f>
        <v>750000000</v>
      </c>
      <c r="N15" t="s">
        <v>38</v>
      </c>
      <c r="P15" s="6">
        <v>0.4</v>
      </c>
      <c r="R15">
        <f>P15*B10</f>
        <v>1705.7600000000002</v>
      </c>
      <c r="S15" s="5">
        <f>S14*1500000</f>
        <v>1279320000000.0002</v>
      </c>
    </row>
    <row r="16" spans="1:19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1:19" x14ac:dyDescent="0.3">
      <c r="A17" s="1"/>
      <c r="B17" s="1"/>
      <c r="C17" s="1" t="s">
        <v>19</v>
      </c>
      <c r="D17" s="1"/>
      <c r="E17" s="1"/>
      <c r="F17" s="1"/>
      <c r="G17" s="1"/>
      <c r="H17" s="1"/>
      <c r="I17" s="1"/>
      <c r="J17" s="1"/>
      <c r="K17" s="1"/>
      <c r="L17" s="1"/>
      <c r="R17" t="s">
        <v>41</v>
      </c>
    </row>
    <row r="18" spans="1:19" x14ac:dyDescent="0.3">
      <c r="A18" s="1"/>
      <c r="B18" s="1" t="s">
        <v>22</v>
      </c>
      <c r="C18" s="1" t="s">
        <v>29</v>
      </c>
      <c r="D18" s="1" t="s">
        <v>30</v>
      </c>
      <c r="E18" s="1" t="s">
        <v>31</v>
      </c>
      <c r="F18" s="1" t="s">
        <v>32</v>
      </c>
      <c r="G18" s="1" t="s">
        <v>26</v>
      </c>
      <c r="H18" s="1" t="s">
        <v>33</v>
      </c>
      <c r="I18" s="1"/>
      <c r="J18" s="3">
        <v>1200000</v>
      </c>
      <c r="K18" s="1"/>
      <c r="L18" s="1"/>
      <c r="M18" s="4">
        <f>J18*B19</f>
        <v>120000000</v>
      </c>
      <c r="N18" t="s">
        <v>39</v>
      </c>
      <c r="P18" s="6">
        <v>0.3</v>
      </c>
      <c r="R18">
        <f>P18*B10</f>
        <v>1279.3200000000002</v>
      </c>
    </row>
    <row r="19" spans="1:19" x14ac:dyDescent="0.3">
      <c r="A19" s="1" t="s">
        <v>34</v>
      </c>
      <c r="B19" s="1">
        <v>100</v>
      </c>
      <c r="C19" s="1">
        <v>0.4</v>
      </c>
      <c r="D19" s="1">
        <v>0.3</v>
      </c>
      <c r="E19" s="1">
        <v>365</v>
      </c>
      <c r="F19" s="1">
        <v>24</v>
      </c>
      <c r="G19" s="1">
        <v>105120</v>
      </c>
      <c r="H19" s="1">
        <v>0.3784330596125669</v>
      </c>
      <c r="I19" s="1"/>
      <c r="J19" s="1"/>
      <c r="K19" s="1"/>
      <c r="L19" s="1"/>
      <c r="R19">
        <f>R18/H19</f>
        <v>3380.5714577625577</v>
      </c>
      <c r="S19" s="5">
        <f>R19*100*12000000</f>
        <v>4056685749315.0688</v>
      </c>
    </row>
    <row r="20" spans="1:19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1:19" x14ac:dyDescent="0.3">
      <c r="A21" s="1" t="s">
        <v>35</v>
      </c>
      <c r="B21" s="1"/>
      <c r="C21" s="1"/>
      <c r="D21" s="1"/>
      <c r="E21" s="1"/>
      <c r="F21" s="1"/>
      <c r="G21" s="1"/>
      <c r="H21" s="1"/>
      <c r="I21" s="1"/>
      <c r="J21" s="3">
        <v>2500000</v>
      </c>
      <c r="K21" s="1"/>
      <c r="L21" s="1"/>
      <c r="S21" s="5">
        <f>S15+S19</f>
        <v>5336005749315.0693</v>
      </c>
    </row>
    <row r="22" spans="1:19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1:19" x14ac:dyDescent="0.3">
      <c r="A23" s="1" t="s">
        <v>36</v>
      </c>
      <c r="B23" s="1"/>
      <c r="C23" s="1"/>
      <c r="D23" s="1"/>
      <c r="E23" s="1"/>
      <c r="F23" s="1"/>
      <c r="G23" s="1"/>
      <c r="H23" s="1"/>
      <c r="I23" s="1"/>
      <c r="J23" s="3">
        <v>2500000</v>
      </c>
      <c r="K23" s="1"/>
      <c r="L23" s="1"/>
      <c r="S23" s="5">
        <f>S21/25</f>
        <v>213440229972.60278</v>
      </c>
    </row>
    <row r="25" spans="1:19" x14ac:dyDescent="0.3">
      <c r="C25" t="s">
        <v>42</v>
      </c>
      <c r="D25" t="s">
        <v>22</v>
      </c>
      <c r="E25" t="s">
        <v>27</v>
      </c>
    </row>
    <row r="26" spans="1:19" x14ac:dyDescent="0.3">
      <c r="C26" s="4">
        <v>1500000</v>
      </c>
      <c r="D26">
        <v>500</v>
      </c>
      <c r="E26">
        <v>1</v>
      </c>
      <c r="F26" s="5">
        <f>C26*D26</f>
        <v>750000000</v>
      </c>
      <c r="G26">
        <f>0.4*B10</f>
        <v>1705.7600000000002</v>
      </c>
      <c r="H26" s="5">
        <f>F26*G26</f>
        <v>1279320000000.0002</v>
      </c>
    </row>
    <row r="28" spans="1:19" x14ac:dyDescent="0.3">
      <c r="A28" t="s">
        <v>44</v>
      </c>
    </row>
    <row r="29" spans="1:19" x14ac:dyDescent="0.3">
      <c r="A29">
        <v>2000</v>
      </c>
      <c r="C29" t="s">
        <v>43</v>
      </c>
      <c r="D29">
        <v>6</v>
      </c>
      <c r="F29">
        <f>4264*0.4</f>
        <v>1705.6000000000001</v>
      </c>
      <c r="G29">
        <f>F29/D29</f>
        <v>284.26666666666671</v>
      </c>
      <c r="H29" s="4">
        <f>G29*1500000000</f>
        <v>426400000000.00006</v>
      </c>
    </row>
    <row r="33" spans="6:6" x14ac:dyDescent="0.3">
      <c r="F33" s="7">
        <f>750*60*60*6.5*0.2*365</f>
        <v>1281150000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2A935B-89F9-4447-9248-CEAACF2559F2}">
  <dimension ref="A1:N37"/>
  <sheetViews>
    <sheetView tabSelected="1" workbookViewId="0">
      <selection activeCell="G7" sqref="G7"/>
    </sheetView>
  </sheetViews>
  <sheetFormatPr defaultRowHeight="15.6" x14ac:dyDescent="0.3"/>
  <cols>
    <col min="1" max="1" width="21.5546875" style="14" bestFit="1" customWidth="1"/>
    <col min="2" max="2" width="11.5546875" style="14" customWidth="1"/>
    <col min="3" max="3" width="8.88671875" style="14"/>
    <col min="4" max="4" width="15.6640625" style="14" bestFit="1" customWidth="1"/>
    <col min="5" max="5" width="13.77734375" style="14" bestFit="1" customWidth="1"/>
    <col min="6" max="6" width="24.33203125" style="14" customWidth="1"/>
    <col min="7" max="7" width="22.44140625" style="14" customWidth="1"/>
    <col min="8" max="8" width="15.5546875" style="9" customWidth="1"/>
    <col min="9" max="9" width="20.77734375" style="9" customWidth="1"/>
    <col min="10" max="10" width="18.77734375" style="9" bestFit="1" customWidth="1"/>
    <col min="11" max="13" width="8.88671875" style="9"/>
    <col min="14" max="14" width="20" style="9" bestFit="1" customWidth="1"/>
    <col min="15" max="16384" width="8.88671875" style="9"/>
  </cols>
  <sheetData>
    <row r="1" spans="1:14" x14ac:dyDescent="0.3">
      <c r="A1" s="13" t="s">
        <v>47</v>
      </c>
      <c r="B1" s="13"/>
      <c r="C1" s="13"/>
      <c r="D1" s="13"/>
      <c r="E1" s="13"/>
    </row>
    <row r="2" spans="1:14" x14ac:dyDescent="0.3">
      <c r="A2" s="13" t="s">
        <v>48</v>
      </c>
      <c r="B2" s="13"/>
      <c r="C2" s="13"/>
      <c r="D2" s="13"/>
      <c r="E2" s="13"/>
    </row>
    <row r="3" spans="1:14" x14ac:dyDescent="0.3">
      <c r="A3" s="13" t="s">
        <v>49</v>
      </c>
      <c r="B3" s="13"/>
      <c r="C3" s="13"/>
      <c r="D3" s="13"/>
      <c r="E3" s="15"/>
    </row>
    <row r="4" spans="1:14" x14ac:dyDescent="0.3">
      <c r="A4" s="13">
        <v>720</v>
      </c>
      <c r="B4" s="13" t="s">
        <v>22</v>
      </c>
      <c r="C4" s="13"/>
      <c r="D4" s="13"/>
      <c r="E4" s="16"/>
      <c r="N4" s="10"/>
    </row>
    <row r="5" spans="1:14" x14ac:dyDescent="0.3">
      <c r="A5" s="17">
        <v>1800000</v>
      </c>
      <c r="B5" s="18" t="s">
        <v>26</v>
      </c>
      <c r="C5" s="13" t="s">
        <v>66</v>
      </c>
      <c r="D5" s="13"/>
      <c r="E5" s="13"/>
    </row>
    <row r="6" spans="1:14" x14ac:dyDescent="0.3">
      <c r="A6" s="15">
        <v>250000</v>
      </c>
      <c r="B6" s="13" t="s">
        <v>50</v>
      </c>
      <c r="C6" s="13" t="s">
        <v>52</v>
      </c>
      <c r="D6" s="13"/>
      <c r="E6" s="13"/>
      <c r="N6" s="10"/>
    </row>
    <row r="7" spans="1:14" x14ac:dyDescent="0.3">
      <c r="A7" s="15">
        <v>2000</v>
      </c>
      <c r="B7" s="13" t="s">
        <v>44</v>
      </c>
      <c r="C7" s="13"/>
      <c r="D7" s="13"/>
      <c r="E7" s="13"/>
    </row>
    <row r="8" spans="1:14" x14ac:dyDescent="0.3">
      <c r="A8" s="19">
        <v>768000000</v>
      </c>
      <c r="B8" s="13" t="s">
        <v>51</v>
      </c>
      <c r="C8" s="13"/>
      <c r="D8" s="13"/>
      <c r="E8" s="13"/>
    </row>
    <row r="9" spans="1:14" x14ac:dyDescent="0.3">
      <c r="A9" s="13"/>
      <c r="B9" s="13"/>
      <c r="C9" s="13"/>
      <c r="D9" s="13"/>
      <c r="E9" s="13"/>
    </row>
    <row r="10" spans="1:14" x14ac:dyDescent="0.3">
      <c r="A10" s="15">
        <v>10000000</v>
      </c>
      <c r="B10" s="13" t="s">
        <v>72</v>
      </c>
      <c r="C10" s="13"/>
      <c r="D10" s="13"/>
      <c r="E10" s="13"/>
    </row>
    <row r="11" spans="1:14" x14ac:dyDescent="0.3">
      <c r="A11" s="15">
        <v>40</v>
      </c>
      <c r="B11" s="13" t="s">
        <v>53</v>
      </c>
      <c r="C11" s="13"/>
      <c r="D11" s="16"/>
      <c r="E11" s="13"/>
      <c r="I11" s="10"/>
    </row>
    <row r="12" spans="1:14" x14ac:dyDescent="0.3">
      <c r="A12" s="15">
        <v>259</v>
      </c>
      <c r="B12" s="13" t="s">
        <v>74</v>
      </c>
      <c r="C12" s="13"/>
      <c r="D12" s="13"/>
      <c r="E12" s="13"/>
    </row>
    <row r="13" spans="1:14" x14ac:dyDescent="0.3">
      <c r="A13" s="19">
        <v>30720000000</v>
      </c>
      <c r="B13" s="13" t="s">
        <v>54</v>
      </c>
      <c r="C13" s="13"/>
      <c r="D13" s="13"/>
      <c r="E13" s="13"/>
    </row>
    <row r="14" spans="1:14" x14ac:dyDescent="0.3">
      <c r="A14" s="13"/>
      <c r="B14" s="13"/>
      <c r="C14" s="13"/>
      <c r="D14" s="13"/>
      <c r="E14" s="13"/>
    </row>
    <row r="15" spans="1:14" x14ac:dyDescent="0.3">
      <c r="A15" s="15">
        <v>913</v>
      </c>
      <c r="B15" s="13" t="s">
        <v>73</v>
      </c>
      <c r="C15" s="13"/>
      <c r="D15" s="13"/>
      <c r="E15" s="13"/>
      <c r="M15" s="8"/>
    </row>
    <row r="16" spans="1:14" x14ac:dyDescent="0.3">
      <c r="A16" s="15">
        <f>A15-A12</f>
        <v>654</v>
      </c>
      <c r="B16" s="13" t="s">
        <v>55</v>
      </c>
      <c r="C16" s="13"/>
      <c r="D16" s="13"/>
      <c r="E16" s="13"/>
    </row>
    <row r="17" spans="1:11" x14ac:dyDescent="0.3">
      <c r="A17" s="13">
        <f>A16/A12</f>
        <v>2.5250965250965249</v>
      </c>
      <c r="B17" s="13" t="s">
        <v>56</v>
      </c>
      <c r="C17" s="13"/>
      <c r="D17" s="13"/>
      <c r="E17" s="13"/>
    </row>
    <row r="18" spans="1:11" x14ac:dyDescent="0.3">
      <c r="A18" s="20">
        <f>A17*A13</f>
        <v>77570965250.96524</v>
      </c>
      <c r="B18" s="13" t="s">
        <v>57</v>
      </c>
      <c r="C18" s="13"/>
      <c r="D18" s="13"/>
      <c r="E18" s="13"/>
    </row>
    <row r="19" spans="1:11" x14ac:dyDescent="0.3">
      <c r="A19" s="20">
        <f>A18+A13</f>
        <v>108290965250.96524</v>
      </c>
      <c r="B19" s="13" t="s">
        <v>63</v>
      </c>
      <c r="C19" s="13"/>
      <c r="D19" s="15"/>
      <c r="E19" s="13"/>
    </row>
    <row r="20" spans="1:11" x14ac:dyDescent="0.3">
      <c r="A20" s="13"/>
      <c r="B20" s="13"/>
      <c r="C20" s="13"/>
      <c r="D20" s="15"/>
      <c r="E20" s="13"/>
    </row>
    <row r="21" spans="1:11" x14ac:dyDescent="0.3">
      <c r="A21" s="13">
        <v>5500</v>
      </c>
      <c r="B21" s="13" t="s">
        <v>58</v>
      </c>
      <c r="C21" s="13"/>
      <c r="D21" s="15"/>
      <c r="E21" s="21"/>
      <c r="F21" s="15">
        <v>8500</v>
      </c>
      <c r="G21" s="13" t="s">
        <v>76</v>
      </c>
      <c r="I21" s="11"/>
      <c r="J21" s="12"/>
    </row>
    <row r="22" spans="1:11" x14ac:dyDescent="0.3">
      <c r="A22" s="13">
        <v>500</v>
      </c>
      <c r="B22" s="13" t="s">
        <v>59</v>
      </c>
      <c r="C22" s="13"/>
      <c r="D22" s="15"/>
      <c r="E22" s="21"/>
      <c r="F22" s="13"/>
      <c r="G22" s="13"/>
    </row>
    <row r="23" spans="1:11" x14ac:dyDescent="0.3">
      <c r="A23" s="13">
        <f>A21-A22</f>
        <v>5000</v>
      </c>
      <c r="B23" s="13" t="s">
        <v>60</v>
      </c>
      <c r="C23" s="13"/>
      <c r="D23" s="22"/>
      <c r="E23" s="21"/>
      <c r="F23" s="13"/>
      <c r="G23" s="22"/>
      <c r="J23" s="9" t="s">
        <v>46</v>
      </c>
    </row>
    <row r="24" spans="1:11" x14ac:dyDescent="0.3">
      <c r="A24" s="13">
        <v>913</v>
      </c>
      <c r="B24" s="13" t="s">
        <v>61</v>
      </c>
      <c r="C24" s="13"/>
      <c r="D24" s="13"/>
      <c r="E24" s="21"/>
      <c r="F24" s="13"/>
      <c r="G24" s="13"/>
      <c r="J24" s="9" t="s">
        <v>46</v>
      </c>
      <c r="K24" s="9" t="s">
        <v>46</v>
      </c>
    </row>
    <row r="25" spans="1:11" x14ac:dyDescent="0.3">
      <c r="A25" s="13">
        <f>A23-A24</f>
        <v>4087</v>
      </c>
      <c r="B25" s="13" t="s">
        <v>62</v>
      </c>
      <c r="C25" s="13"/>
      <c r="D25" s="13"/>
      <c r="E25" s="21"/>
      <c r="F25" s="13"/>
      <c r="G25" s="13"/>
    </row>
    <row r="26" spans="1:11" x14ac:dyDescent="0.3">
      <c r="A26" s="13">
        <f>A25/A15</f>
        <v>4.47645125958379</v>
      </c>
      <c r="B26" s="13"/>
      <c r="C26" s="13"/>
      <c r="D26" s="13"/>
      <c r="E26" s="21"/>
      <c r="F26" s="19"/>
      <c r="G26" s="13"/>
    </row>
    <row r="27" spans="1:11" x14ac:dyDescent="0.3">
      <c r="A27" s="20">
        <f>A26*A19</f>
        <v>484759227799.22778</v>
      </c>
      <c r="B27" s="13" t="s">
        <v>64</v>
      </c>
      <c r="C27" s="13"/>
      <c r="D27" s="13"/>
      <c r="E27" s="21"/>
      <c r="F27" s="13"/>
      <c r="G27" s="13"/>
    </row>
    <row r="28" spans="1:11" x14ac:dyDescent="0.3">
      <c r="A28" s="13"/>
      <c r="B28" s="13"/>
      <c r="C28" s="13"/>
      <c r="D28" s="13"/>
      <c r="E28" s="21"/>
      <c r="F28" s="20"/>
      <c r="G28" s="13"/>
    </row>
    <row r="29" spans="1:11" x14ac:dyDescent="0.3">
      <c r="A29" s="20">
        <f>A27+A19</f>
        <v>593050193050.19299</v>
      </c>
      <c r="B29" s="13" t="s">
        <v>65</v>
      </c>
      <c r="C29" s="13"/>
      <c r="D29" s="13"/>
      <c r="E29" s="21"/>
      <c r="F29" s="23">
        <f>F21/A21</f>
        <v>1.5454545454545454</v>
      </c>
      <c r="G29" s="13" t="s">
        <v>83</v>
      </c>
    </row>
    <row r="30" spans="1:11" x14ac:dyDescent="0.3">
      <c r="A30" s="20"/>
      <c r="B30" s="24" t="s">
        <v>46</v>
      </c>
      <c r="C30" s="13"/>
      <c r="D30" s="13"/>
      <c r="E30" s="21"/>
      <c r="F30" s="20">
        <f>F29*A29</f>
        <v>916532116532.11646</v>
      </c>
      <c r="G30" s="13" t="s">
        <v>77</v>
      </c>
    </row>
    <row r="31" spans="1:11" x14ac:dyDescent="0.3">
      <c r="A31" s="13">
        <v>2000</v>
      </c>
      <c r="B31" s="13" t="s">
        <v>67</v>
      </c>
      <c r="C31" s="13" t="s">
        <v>75</v>
      </c>
      <c r="D31" s="13"/>
      <c r="E31" s="21"/>
      <c r="F31" s="20">
        <f>F30*0.03</f>
        <v>27495963495.963493</v>
      </c>
      <c r="G31" s="13" t="s">
        <v>78</v>
      </c>
    </row>
    <row r="32" spans="1:11" x14ac:dyDescent="0.3">
      <c r="A32" s="13">
        <v>40</v>
      </c>
      <c r="B32" s="13" t="s">
        <v>68</v>
      </c>
      <c r="C32" s="13"/>
      <c r="D32" s="13"/>
      <c r="E32" s="21"/>
      <c r="F32" s="25" t="s">
        <v>79</v>
      </c>
      <c r="G32" s="13"/>
    </row>
    <row r="33" spans="1:7" x14ac:dyDescent="0.3">
      <c r="A33" s="13">
        <f>A32*A31</f>
        <v>80000</v>
      </c>
      <c r="B33" s="13" t="s">
        <v>69</v>
      </c>
      <c r="C33" s="13"/>
      <c r="D33" s="13"/>
      <c r="E33" s="21"/>
      <c r="F33" s="13"/>
      <c r="G33" s="13"/>
    </row>
    <row r="34" spans="1:7" x14ac:dyDescent="0.3">
      <c r="A34" s="13">
        <f>2.47*A33</f>
        <v>197600.00000000003</v>
      </c>
      <c r="B34" s="13" t="s">
        <v>45</v>
      </c>
      <c r="C34" s="13" t="s">
        <v>71</v>
      </c>
      <c r="D34" s="13"/>
      <c r="E34" s="21"/>
      <c r="F34" s="19">
        <v>30000000000</v>
      </c>
      <c r="G34" s="13" t="s">
        <v>80</v>
      </c>
    </row>
    <row r="35" spans="1:7" x14ac:dyDescent="0.3">
      <c r="A35" s="13"/>
      <c r="B35" s="13"/>
      <c r="C35" s="13"/>
      <c r="D35" s="13"/>
      <c r="E35" s="21"/>
      <c r="F35" s="13"/>
      <c r="G35" s="13"/>
    </row>
    <row r="36" spans="1:7" x14ac:dyDescent="0.3">
      <c r="A36" s="13">
        <v>1.9</v>
      </c>
      <c r="B36" s="13" t="s">
        <v>70</v>
      </c>
      <c r="C36" s="13"/>
      <c r="D36" s="13"/>
      <c r="E36" s="21"/>
      <c r="F36" s="20">
        <f>F34+F31+F30</f>
        <v>974028080028.07996</v>
      </c>
      <c r="G36" s="13" t="s">
        <v>81</v>
      </c>
    </row>
    <row r="37" spans="1:7" x14ac:dyDescent="0.3">
      <c r="F37" s="20">
        <f>F36/25</f>
        <v>38961123201.123199</v>
      </c>
      <c r="G37" s="13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Meyenn</dc:creator>
  <cp:lastModifiedBy>Andrew Meyenn</cp:lastModifiedBy>
  <dcterms:created xsi:type="dcterms:W3CDTF">2024-06-08T02:32:00Z</dcterms:created>
  <dcterms:modified xsi:type="dcterms:W3CDTF">2024-06-08T11:20:09Z</dcterms:modified>
</cp:coreProperties>
</file>